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<sst xmlns="http://schemas.openxmlformats.org/spreadsheetml/2006/main" count="123" uniqueCount="120">
  <si>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</si>
  <si>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</si>
  <si>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</si>
  <si>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</si>
  <si>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</si>
  <si>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</si>
  <si>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</si>
  <si>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</si>
  <si>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</si>
  <si>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</si>
  <si>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</si>
  <si>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</si>
  <si>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</si>
  <si>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</si>
  <si>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</si>
  <si>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</si>
  <si>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</si>
  <si>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</si>
  <si>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</si>
  <si>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</si>
  <si>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</si>
  <si>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</si>
  <si>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</si>
  <si>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</si>
  <si>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</si>
  <si>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</si>
  <si>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</si>
  <si>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</si>
  <si>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</si>
  <si>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</si>
  <si>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</si>
  <si>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</si>
  <si>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</si>
  <si>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</si>
  <si>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</si>
  <si>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</si>
  <si>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</si>
  <si>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</si>
  <si>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</si>
  <si>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</si>
  <si>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</si>
  <si>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</si>
  <si>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</si>
  <si>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</si>
  <si>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</si>
  <si>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</si>
  <si>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</si>
  <si>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</si>
  <si>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</si>
  <si>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</si>
  <si>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</si>
  <si>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</si>
  <si>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</si>
  <si>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</si>
  <si>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</si>
  <si>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</si>
  <si>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</si>
  <si>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</si>
  <si>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</si>
  <si>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</si>
  <si>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</si>
  <si>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</si>
  <si>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</si>
  <si>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</si>
  <si>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</si>
  <si>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</si>
  <si>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</si>
  <si>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</si>
  <si>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</si>
  <si>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</si>
  <si>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</si>
  <si>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</si>
  <si>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</si>
  <si>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</si>
  <si>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</si>
  <si>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</si>
  <si>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</si>
  <si>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</si>
  <si>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</si>
  <si>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</si>
  <si>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</si>
  <si>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</si>
  <si>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</si>
  <si>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</si>
  <si>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</si>
  <si>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</si>
  <si>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</si>
  <si>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</si>
  <si>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</si>
  <si>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</si>
  <si>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</si>
  <si>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</si>
  <si>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</si>
  <si>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</si>
  <si>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</si>
  <si>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</si>
  <si>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</si>
  <si>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</si>
  <si>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</si>
  <si>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</si>
  <si>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</si>
  <si>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</si>
  <si>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</si>
  <si>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</si>
  <si>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</si>
  <si>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</si>
  <si>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</si>
  <si>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</si>
  <si>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</si>
  <si>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</si>
  <si>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</si>
  <si>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</si>
  <si>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</si>
  <si>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</si>
  <si>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</si>
  <si>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</si>
  <si>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</si>
  <si>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</si>
  <si>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</si>
  <si>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Профінансовано станом на 28.11.16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</si>
</sst>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7" sqref="AG1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88" t="s">
        <v>10</v>
      </c>
      <c r="B1" s="88"/>
      <c r="C1" s="88"/>
      <c r="D1" s="88"/>
      <c r="E1" s="88"/>
      <c r="F1" s="88"/>
      <c r="G1" s="88"/>
      <c r="H1" s="88"/>
    </row>
    <row r="2" spans="1:8" ht="20.25" customHeight="1">
      <c r="A2" s="89" t="s">
        <v>11</v>
      </c>
      <c r="B2" s="89"/>
      <c r="C2" s="89"/>
      <c r="D2" s="89"/>
      <c r="E2" s="89"/>
      <c r="F2" s="89"/>
      <c r="G2" s="89"/>
      <c r="H2" s="89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1" t="s">
        <v>7</v>
      </c>
      <c r="B4" s="12"/>
      <c r="C4" s="91" t="s">
        <v>13</v>
      </c>
      <c r="D4" s="90" t="s">
        <v>14</v>
      </c>
      <c r="E4" s="90" t="s">
        <v>0</v>
      </c>
      <c r="F4" s="90" t="s">
        <v>1</v>
      </c>
      <c r="G4" s="14" t="s">
        <v>2</v>
      </c>
      <c r="H4" s="90" t="s">
        <v>119</v>
      </c>
      <c r="I4" s="92" t="s">
        <v>41</v>
      </c>
      <c r="J4" s="92" t="s">
        <v>112</v>
      </c>
      <c r="K4" s="95" t="s">
        <v>113</v>
      </c>
      <c r="L4" s="92" t="s">
        <v>42</v>
      </c>
      <c r="M4" s="92" t="s">
        <v>43</v>
      </c>
      <c r="N4" s="92" t="s">
        <v>44</v>
      </c>
      <c r="O4" s="92" t="s">
        <v>45</v>
      </c>
      <c r="P4" s="92" t="s">
        <v>46</v>
      </c>
      <c r="Q4" s="92" t="s">
        <v>47</v>
      </c>
      <c r="R4" s="92" t="s">
        <v>48</v>
      </c>
      <c r="S4" s="92" t="s">
        <v>49</v>
      </c>
      <c r="T4" s="92" t="s">
        <v>50</v>
      </c>
      <c r="U4" s="92" t="s">
        <v>51</v>
      </c>
      <c r="V4" s="92" t="s">
        <v>52</v>
      </c>
      <c r="W4" s="92" t="s">
        <v>53</v>
      </c>
      <c r="X4" s="92" t="s">
        <v>54</v>
      </c>
    </row>
    <row r="5" spans="1:26" ht="55.5" customHeight="1">
      <c r="A5" s="91"/>
      <c r="B5" s="15" t="s">
        <v>8</v>
      </c>
      <c r="C5" s="91"/>
      <c r="D5" s="90"/>
      <c r="E5" s="90"/>
      <c r="F5" s="90"/>
      <c r="G5" s="13" t="s">
        <v>6</v>
      </c>
      <c r="H5" s="90"/>
      <c r="I5" s="93"/>
      <c r="J5" s="97"/>
      <c r="K5" s="96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3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9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149212409.36</v>
      </c>
      <c r="I8" s="70">
        <f>H8/D8*100</f>
        <v>86.0990851532392</v>
      </c>
      <c r="J8" s="70">
        <f>H8/(L8+M8+N8+O8+P8+Q8+R8+U8+N26+O26+P26+Q26+R26+S8+S26+T8+T26+U26+V8)*100</f>
        <v>104.10440192559034</v>
      </c>
      <c r="K8" s="63">
        <f aca="true" t="shared" si="0" ref="K8:X8">K9+K17</f>
        <v>4026955.9899999993</v>
      </c>
      <c r="L8" s="63">
        <f t="shared" si="0"/>
        <v>112816</v>
      </c>
      <c r="M8" s="63">
        <f t="shared" si="0"/>
        <v>1300000</v>
      </c>
      <c r="N8" s="63">
        <f t="shared" si="0"/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1719340.78</v>
      </c>
      <c r="U8" s="63">
        <f t="shared" si="0"/>
        <v>5817444</v>
      </c>
      <c r="V8" s="63">
        <f t="shared" si="0"/>
        <v>3673153.73</v>
      </c>
      <c r="W8" s="63">
        <f t="shared" si="0"/>
        <v>4721677.029999999</v>
      </c>
      <c r="X8" s="63">
        <f t="shared" si="0"/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36148661.67</v>
      </c>
      <c r="I9" s="45">
        <f>H9/D9*100</f>
        <v>80.51411988092772</v>
      </c>
      <c r="J9" s="45">
        <f>H9/(L9+M9+N9+O9+P9+Q9+R9+S9+U9+T9+M17+N17+O17+P17+Q17+R17+S17+T17+U17+V9)*100</f>
        <v>90.75638031823628</v>
      </c>
      <c r="K9" s="23">
        <f>L9+M9+N9+O9+P9+Q9+R9+S9+T9+U9+V9-H10-H11-H12-H13-H14-H15-H16</f>
        <v>2413638.04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3">
        <f>(H10+H11+H12+H13+H14+H15+H16)/(L9+M9+N9+O9+P9+Q9+R9+S9+T9+U9+V9)*100</f>
        <v>91.33841544778072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4"/>
      <c r="K11" s="79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4"/>
      <c r="K12" s="51">
        <f t="shared" si="2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5">H13/D13*100</f>
        <v>61.845285714285716</v>
      </c>
      <c r="J13" s="84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84"/>
      <c r="K15" s="80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</f>
        <v>254748</v>
      </c>
      <c r="I16" s="46">
        <f t="shared" si="3"/>
        <v>11.279869267436325</v>
      </c>
      <c r="J16" s="85"/>
      <c r="K16" s="51">
        <f t="shared" si="2"/>
        <v>2003682.4299999997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10696289.450000001</v>
      </c>
      <c r="I17" s="46">
        <f t="shared" si="3"/>
        <v>68.95990473011142</v>
      </c>
      <c r="J17" s="83">
        <f>H17/(L17+M17+N17+O17+P17+Q17+R17+S17+T17+U17+V17)*100</f>
        <v>86.89383099253028</v>
      </c>
      <c r="K17" s="71">
        <f>L17+M17+N17+O17+P17+Q17+R17+S17+T17+U17+V17-H17</f>
        <v>1613317.9499999993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84"/>
      <c r="K18" s="78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4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4"/>
      <c r="K19" s="78">
        <f aca="true" t="shared" si="5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4"/>
      <c r="K20" s="78">
        <f t="shared" si="5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4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3"/>
        <v>78.66513407864906</v>
      </c>
      <c r="J21" s="84"/>
      <c r="K21" s="78">
        <f t="shared" si="5"/>
        <v>272894.2699999999</v>
      </c>
      <c r="Y21" s="69"/>
    </row>
    <row r="22" spans="1:25" ht="18.75">
      <c r="A22" s="1"/>
      <c r="B22" s="21"/>
      <c r="C22" s="26" t="s">
        <v>117</v>
      </c>
      <c r="D22" s="27">
        <f t="shared" si="4"/>
        <v>305182</v>
      </c>
      <c r="E22" s="27">
        <v>305182</v>
      </c>
      <c r="F22" s="27"/>
      <c r="G22" s="28"/>
      <c r="H22" s="27"/>
      <c r="I22" s="47"/>
      <c r="J22" s="84"/>
      <c r="K22" s="78"/>
      <c r="Y22" s="69"/>
    </row>
    <row r="23" spans="1:25" ht="18.75">
      <c r="A23" s="1"/>
      <c r="B23" s="21"/>
      <c r="C23" s="26" t="s">
        <v>26</v>
      </c>
      <c r="D23" s="27">
        <f t="shared" si="4"/>
        <v>341100</v>
      </c>
      <c r="E23" s="27">
        <f>131100+170000+40000</f>
        <v>341100</v>
      </c>
      <c r="F23" s="27"/>
      <c r="G23" s="28"/>
      <c r="H23" s="27">
        <f>48844.8+7632+59492+27934.2+25948.8</f>
        <v>169851.8</v>
      </c>
      <c r="I23" s="47"/>
      <c r="J23" s="84"/>
      <c r="K23" s="78">
        <f t="shared" si="5"/>
        <v>171248.2</v>
      </c>
      <c r="Y23" s="69"/>
    </row>
    <row r="24" spans="1:25" ht="18.75" customHeight="1">
      <c r="A24" s="1"/>
      <c r="B24" s="21"/>
      <c r="C24" s="26" t="s">
        <v>27</v>
      </c>
      <c r="D24" s="27">
        <f t="shared" si="4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3"/>
        <v>18.550778395552026</v>
      </c>
      <c r="J24" s="84"/>
      <c r="K24" s="78">
        <f t="shared" si="5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</f>
        <v>75384.09</v>
      </c>
      <c r="I25" s="47">
        <f t="shared" si="3"/>
        <v>12.194126496279521</v>
      </c>
      <c r="J25" s="85"/>
      <c r="K25" s="78">
        <f t="shared" si="5"/>
        <v>542815.91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113063747.69</v>
      </c>
      <c r="I26" s="45">
        <f>H26/D26*100</f>
        <v>88.05187671690047</v>
      </c>
      <c r="J26" s="68">
        <f>H26/(L26+M26+N26+O26+P26+Q26+R26+S26+T26+U26+V26)*100</f>
        <v>94.94174562130759</v>
      </c>
      <c r="K26" s="52">
        <f>L26+M26+N26+O26+P26+Q26+R26+S26+T26+T26+U26+V26-H26</f>
        <v>24097566.74000001</v>
      </c>
      <c r="L26" s="62">
        <f aca="true" t="shared" si="6" ref="L26:W26">SUM(L27:L50)</f>
        <v>0</v>
      </c>
      <c r="M26" s="62">
        <f t="shared" si="6"/>
        <v>0</v>
      </c>
      <c r="N26" s="62">
        <f t="shared" si="6"/>
        <v>5770000</v>
      </c>
      <c r="O26" s="62">
        <f t="shared" si="6"/>
        <v>14486801.99</v>
      </c>
      <c r="P26" s="62">
        <f aca="true" t="shared" si="7" ref="P26:U26">SUM(P27:P50)</f>
        <v>13603977.01</v>
      </c>
      <c r="Q26" s="62">
        <f t="shared" si="7"/>
        <v>3768235.380000001</v>
      </c>
      <c r="R26" s="62">
        <f t="shared" si="7"/>
        <v>18763192.62</v>
      </c>
      <c r="S26" s="62">
        <f t="shared" si="7"/>
        <v>24610815.8</v>
      </c>
      <c r="T26" s="62">
        <f t="shared" si="7"/>
        <v>18073818.25</v>
      </c>
      <c r="U26" s="62">
        <f t="shared" si="7"/>
        <v>4077128.3200000003</v>
      </c>
      <c r="V26" s="62">
        <f t="shared" si="6"/>
        <v>15933526.81</v>
      </c>
      <c r="W26" s="62">
        <f t="shared" si="6"/>
        <v>9318339</v>
      </c>
      <c r="X26" s="62">
        <f>SUM(X27:X50)</f>
        <v>128405835.17999999</v>
      </c>
      <c r="Y26" s="69">
        <f aca="true" t="shared" si="8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9" ref="J27:J50">H27/(L27+M27+N27+O27+P27+Q27+R27+S27+T27+U27+V27)*100</f>
        <v>100</v>
      </c>
      <c r="K27" s="52">
        <f aca="true" t="shared" si="10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8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1" ref="D28:D46">F28</f>
        <v>40000</v>
      </c>
      <c r="E28" s="30"/>
      <c r="F28" s="32">
        <f aca="true" t="shared" si="12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9"/>
        <v>100</v>
      </c>
      <c r="K28" s="52">
        <f t="shared" si="10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3" ref="X28:X50">SUM(L28:W28)</f>
        <v>40000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377958.84</v>
      </c>
      <c r="E29" s="30"/>
      <c r="F29" s="32">
        <f t="shared" si="12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4" ref="I29:I43">H29/D29*100</f>
        <v>99.99999999999999</v>
      </c>
      <c r="J29" s="67">
        <f t="shared" si="9"/>
        <v>99.99999999999999</v>
      </c>
      <c r="K29" s="81">
        <f t="shared" si="10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3"/>
        <v>377958.84</v>
      </c>
      <c r="Y29" s="74">
        <f t="shared" si="8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1"/>
        <v>345303.57</v>
      </c>
      <c r="E30" s="30"/>
      <c r="F30" s="32">
        <f t="shared" si="12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4"/>
        <v>100</v>
      </c>
      <c r="J30" s="67">
        <f t="shared" si="9"/>
        <v>100</v>
      </c>
      <c r="K30" s="82">
        <f t="shared" si="10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3"/>
        <v>345303.57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1"/>
        <v>401532.27</v>
      </c>
      <c r="E31" s="30"/>
      <c r="F31" s="32">
        <f t="shared" si="12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4"/>
        <v>100</v>
      </c>
      <c r="J31" s="67">
        <f t="shared" si="9"/>
        <v>100</v>
      </c>
      <c r="K31" s="81">
        <f t="shared" si="10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3"/>
        <v>401532.27</v>
      </c>
      <c r="Y31" s="74">
        <f t="shared" si="8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1"/>
        <v>696958.72</v>
      </c>
      <c r="E32" s="30"/>
      <c r="F32" s="32">
        <f t="shared" si="12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4"/>
        <v>100</v>
      </c>
      <c r="J32" s="67">
        <f t="shared" si="9"/>
        <v>100</v>
      </c>
      <c r="K32" s="82">
        <f t="shared" si="10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3"/>
        <v>696958.72</v>
      </c>
      <c r="Y32" s="74">
        <f t="shared" si="8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1"/>
        <v>541000</v>
      </c>
      <c r="E34" s="30"/>
      <c r="F34" s="32">
        <f t="shared" si="12"/>
        <v>541000</v>
      </c>
      <c r="G34" s="32">
        <f>291000+250000</f>
        <v>541000</v>
      </c>
      <c r="H34" s="25">
        <f>30000</f>
        <v>30000</v>
      </c>
      <c r="I34" s="46">
        <f t="shared" si="14"/>
        <v>5.545286506469501</v>
      </c>
      <c r="J34" s="67">
        <f t="shared" si="9"/>
        <v>28.037383177570092</v>
      </c>
      <c r="K34" s="52">
        <f t="shared" si="10"/>
        <v>77000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241000-36000-398000</f>
        <v>-193000</v>
      </c>
      <c r="W34" s="43">
        <f>36000+398000</f>
        <v>434000</v>
      </c>
      <c r="X34" s="73">
        <f t="shared" si="13"/>
        <v>541000</v>
      </c>
      <c r="Y34" s="74">
        <f t="shared" si="8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9"/>
        <v>100</v>
      </c>
      <c r="K35" s="82">
        <f t="shared" si="10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1"/>
        <v>14500000</v>
      </c>
      <c r="E36" s="30"/>
      <c r="F36" s="32">
        <f t="shared" si="12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4"/>
        <v>79.69414944827587</v>
      </c>
      <c r="J36" s="67">
        <f t="shared" si="9"/>
        <v>79.69414944827587</v>
      </c>
      <c r="K36" s="52">
        <f t="shared" si="10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3"/>
        <v>14500000</v>
      </c>
      <c r="Y36" s="74">
        <f t="shared" si="8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1"/>
        <v>33552000</v>
      </c>
      <c r="E37" s="30"/>
      <c r="F37" s="32">
        <f t="shared" si="12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</f>
        <v>29184178.98</v>
      </c>
      <c r="I37" s="46">
        <f t="shared" si="14"/>
        <v>86.9819354434907</v>
      </c>
      <c r="J37" s="67">
        <f t="shared" si="9"/>
        <v>95.54301940149135</v>
      </c>
      <c r="K37" s="52">
        <f t="shared" si="10"/>
        <v>12461411.02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f>4520370.43-2262410-330000</f>
        <v>1927960.4299999997</v>
      </c>
      <c r="W37" s="43">
        <f>414000+2262410+330000</f>
        <v>3006410</v>
      </c>
      <c r="X37" s="73">
        <f>SUM(L37:W37)</f>
        <v>33552000</v>
      </c>
      <c r="Y37" s="74">
        <f t="shared" si="8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1"/>
        <v>1466600</v>
      </c>
      <c r="E38" s="30"/>
      <c r="F38" s="32">
        <f t="shared" si="12"/>
        <v>1466600</v>
      </c>
      <c r="G38" s="32">
        <f>1281600+185000</f>
        <v>1466600</v>
      </c>
      <c r="H38" s="25">
        <f>80000+35000+1000000+325951.13</f>
        <v>1440951.13</v>
      </c>
      <c r="I38" s="46">
        <f t="shared" si="14"/>
        <v>98.25113391517796</v>
      </c>
      <c r="J38" s="67">
        <f t="shared" si="9"/>
        <v>98.25113391517796</v>
      </c>
      <c r="K38" s="52">
        <f t="shared" si="10"/>
        <v>25648.87000000011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3"/>
        <v>1466600</v>
      </c>
      <c r="Y38" s="74">
        <f t="shared" si="8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1"/>
        <v>51163597</v>
      </c>
      <c r="E39" s="30"/>
      <c r="F39" s="32">
        <f t="shared" si="12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</f>
        <v>47216155.150000006</v>
      </c>
      <c r="I39" s="46">
        <f t="shared" si="14"/>
        <v>92.2846670651401</v>
      </c>
      <c r="J39" s="67">
        <f t="shared" si="9"/>
        <v>99.98832559239543</v>
      </c>
      <c r="K39" s="52">
        <f t="shared" si="10"/>
        <v>4575569.849999994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f>3039001.25+2162410+330000</f>
        <v>5531411.25</v>
      </c>
      <c r="W39" s="43">
        <f>6434339-2162410-330000</f>
        <v>3941929</v>
      </c>
      <c r="X39" s="73">
        <f t="shared" si="13"/>
        <v>51163597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5700000</v>
      </c>
      <c r="E40" s="30"/>
      <c r="F40" s="32">
        <f t="shared" si="12"/>
        <v>5700000</v>
      </c>
      <c r="G40" s="32">
        <f>5000000+700000</f>
        <v>5700000</v>
      </c>
      <c r="H40" s="25">
        <f>108000+2394100+780000+290000+1323887.29+497400</f>
        <v>5393387.29</v>
      </c>
      <c r="I40" s="46">
        <f t="shared" si="14"/>
        <v>94.62082964912281</v>
      </c>
      <c r="J40" s="67">
        <f t="shared" si="9"/>
        <v>99.9886408972933</v>
      </c>
      <c r="K40" s="52">
        <f t="shared" si="10"/>
        <v>-665387.29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700000-340000+36000+398000+100000</f>
        <v>894000</v>
      </c>
      <c r="W40" s="43">
        <f>500000+340000-36000-398000-100000</f>
        <v>306000</v>
      </c>
      <c r="X40" s="73">
        <f t="shared" si="13"/>
        <v>5700000</v>
      </c>
      <c r="Y40" s="74">
        <f t="shared" si="8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1"/>
        <v>6380000</v>
      </c>
      <c r="E41" s="30"/>
      <c r="F41" s="32">
        <f t="shared" si="12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4"/>
        <v>81.66487742946707</v>
      </c>
      <c r="J41" s="67">
        <f t="shared" si="9"/>
        <v>95.6003519266055</v>
      </c>
      <c r="K41" s="52">
        <f t="shared" si="10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8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1"/>
        <v>1595595.28</v>
      </c>
      <c r="E42" s="30"/>
      <c r="F42" s="32">
        <f t="shared" si="12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4"/>
        <v>90.35648438368406</v>
      </c>
      <c r="J42" s="67">
        <f t="shared" si="9"/>
        <v>90.35648438368406</v>
      </c>
      <c r="K42" s="52">
        <f t="shared" si="10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3"/>
        <v>1595595.28</v>
      </c>
      <c r="Y42" s="74">
        <f t="shared" si="8"/>
        <v>0</v>
      </c>
    </row>
    <row r="43" spans="1:25" s="4" customFormat="1" ht="18.75">
      <c r="A43" s="1"/>
      <c r="B43" s="5"/>
      <c r="C43" s="54" t="s">
        <v>102</v>
      </c>
      <c r="D43" s="32">
        <f t="shared" si="11"/>
        <v>199760</v>
      </c>
      <c r="E43" s="30"/>
      <c r="F43" s="32">
        <f t="shared" si="12"/>
        <v>199760</v>
      </c>
      <c r="G43" s="32">
        <f>89760+110000</f>
        <v>199760</v>
      </c>
      <c r="H43" s="25">
        <f>30000</f>
        <v>30000</v>
      </c>
      <c r="I43" s="46">
        <f t="shared" si="14"/>
        <v>15.018021625951143</v>
      </c>
      <c r="J43" s="67">
        <f t="shared" si="9"/>
        <v>15.018021625951143</v>
      </c>
      <c r="K43" s="52">
        <f t="shared" si="10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3"/>
        <v>199760</v>
      </c>
      <c r="Y43" s="74">
        <f t="shared" si="8"/>
        <v>0</v>
      </c>
    </row>
    <row r="44" spans="1:25" s="4" customFormat="1" ht="18.75">
      <c r="A44" s="1"/>
      <c r="B44" s="5"/>
      <c r="C44" s="54" t="s">
        <v>114</v>
      </c>
      <c r="D44" s="32">
        <f t="shared" si="11"/>
        <v>150000</v>
      </c>
      <c r="E44" s="30"/>
      <c r="F44" s="32">
        <f t="shared" si="12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115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18.75">
      <c r="A46" s="1"/>
      <c r="B46" s="5"/>
      <c r="C46" s="54" t="s">
        <v>116</v>
      </c>
      <c r="D46" s="32">
        <f t="shared" si="11"/>
        <v>150000</v>
      </c>
      <c r="E46" s="30"/>
      <c r="F46" s="32">
        <f t="shared" si="12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3"/>
        <v>150000</v>
      </c>
      <c r="Y46" s="74">
        <f t="shared" si="8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2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9"/>
        <v>86.91848584415584</v>
      </c>
      <c r="K47" s="52">
        <f t="shared" si="10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3"/>
        <v>7700000</v>
      </c>
      <c r="Y47" s="74">
        <f t="shared" si="8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9"/>
        <v>100</v>
      </c>
      <c r="K48" s="52">
        <f t="shared" si="10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8"/>
        <v>0</v>
      </c>
    </row>
    <row r="49" spans="1:25" s="4" customFormat="1" ht="22.5" customHeight="1">
      <c r="A49" s="1"/>
      <c r="B49" s="76"/>
      <c r="C49" s="75" t="s">
        <v>118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8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9"/>
        <v>100.00000000000016</v>
      </c>
      <c r="K50" s="52">
        <f t="shared" si="10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3"/>
        <v>256188.79999999958</v>
      </c>
      <c r="Y50" s="74">
        <f t="shared" si="8"/>
        <v>2.3283064365386963E-10</v>
      </c>
    </row>
    <row r="51" spans="1:25" s="16" customFormat="1" ht="24" customHeight="1">
      <c r="A51" s="86" t="s">
        <v>29</v>
      </c>
      <c r="B51" s="87"/>
      <c r="C51" s="87"/>
      <c r="D51" s="87"/>
      <c r="E51" s="87"/>
      <c r="F51" s="87"/>
      <c r="G51" s="87"/>
      <c r="H51" s="87"/>
      <c r="I51" s="87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77514389.56</v>
      </c>
      <c r="I52" s="64">
        <f>H52/D52*100</f>
        <v>60.71548321760698</v>
      </c>
      <c r="J52" s="64">
        <f>H53/(L53+M53+N53+O53+P53+Q53+R53+S53+T53+U53+V53)*100</f>
        <v>67.24644549109587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77514389.56</v>
      </c>
      <c r="I53" s="48">
        <f>H53/D53*100</f>
        <v>60.71548321760698</v>
      </c>
      <c r="J53" s="68">
        <f>H53/(L53+M53+N53+O53+P53+Q53+R53+S53+T53+U53+V53)*100</f>
        <v>67.24644549109587</v>
      </c>
      <c r="K53" s="52">
        <f t="shared" si="10"/>
        <v>56803118.41999999</v>
      </c>
      <c r="L53" s="61">
        <f>SUM(L54:L97)</f>
        <v>0</v>
      </c>
      <c r="M53" s="61">
        <f aca="true" t="shared" si="15" ref="M53:W53">SUM(M54:M97)</f>
        <v>2416000</v>
      </c>
      <c r="N53" s="61">
        <f t="shared" si="15"/>
        <v>3584000</v>
      </c>
      <c r="O53" s="61">
        <f t="shared" si="15"/>
        <v>590500</v>
      </c>
      <c r="P53" s="61">
        <f t="shared" si="15"/>
        <v>7038995.17</v>
      </c>
      <c r="Q53" s="61">
        <f t="shared" si="15"/>
        <v>13765230</v>
      </c>
      <c r="R53" s="61">
        <f t="shared" si="15"/>
        <v>10424146</v>
      </c>
      <c r="S53" s="61">
        <f t="shared" si="15"/>
        <v>18643470.259999998</v>
      </c>
      <c r="T53" s="61">
        <f>SUM(T54:T97)</f>
        <v>19048382.61</v>
      </c>
      <c r="U53" s="61">
        <f t="shared" si="15"/>
        <v>25254393.09</v>
      </c>
      <c r="V53" s="61">
        <f t="shared" si="15"/>
        <v>14504008.239999998</v>
      </c>
      <c r="W53" s="61">
        <f t="shared" si="15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6" ref="D54:D86">F54</f>
        <v>768000</v>
      </c>
      <c r="E54" s="30"/>
      <c r="F54" s="25">
        <f aca="true" t="shared" si="17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8" ref="J54:J97">H54/(L54+M54+N54+O54+P54+Q54+R54+S54+T54+U54+V54)*100</f>
        <v>99.97009562848389</v>
      </c>
      <c r="K54" s="52">
        <f t="shared" si="10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9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6"/>
        <v>109800</v>
      </c>
      <c r="E55" s="30"/>
      <c r="F55" s="25">
        <f t="shared" si="17"/>
        <v>109800</v>
      </c>
      <c r="G55" s="32">
        <v>109800</v>
      </c>
      <c r="H55" s="25"/>
      <c r="I55" s="46"/>
      <c r="J55" s="67"/>
      <c r="K55" s="52">
        <f t="shared" si="10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20" ref="X55:X97">SUM(L55:W55)</f>
        <v>109800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6"/>
        <v>25280</v>
      </c>
      <c r="E56" s="30"/>
      <c r="F56" s="25">
        <f t="shared" si="17"/>
        <v>25280</v>
      </c>
      <c r="G56" s="32">
        <v>25280</v>
      </c>
      <c r="H56" s="25"/>
      <c r="I56" s="46"/>
      <c r="J56" s="67">
        <f t="shared" si="18"/>
        <v>0</v>
      </c>
      <c r="K56" s="52">
        <f t="shared" si="10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20"/>
        <v>25280</v>
      </c>
      <c r="Y56" s="69">
        <f t="shared" si="19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6"/>
        <v>950000</v>
      </c>
      <c r="E57" s="30"/>
      <c r="F57" s="25">
        <f t="shared" si="17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8"/>
        <v>82.76946521739131</v>
      </c>
      <c r="K57" s="52">
        <f t="shared" si="10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20"/>
        <v>950000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6"/>
        <v>1180000</v>
      </c>
      <c r="E58" s="30"/>
      <c r="F58" s="25">
        <f t="shared" si="17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8"/>
        <v>98.95684237288135</v>
      </c>
      <c r="K58" s="52">
        <f t="shared" si="10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20"/>
        <v>1180000</v>
      </c>
      <c r="Y58" s="69">
        <f t="shared" si="19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6"/>
        <v>120000</v>
      </c>
      <c r="E59" s="30"/>
      <c r="F59" s="25">
        <f t="shared" si="17"/>
        <v>120000</v>
      </c>
      <c r="G59" s="32">
        <v>120000</v>
      </c>
      <c r="H59" s="25"/>
      <c r="I59" s="46"/>
      <c r="J59" s="67"/>
      <c r="K59" s="52">
        <f t="shared" si="10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20"/>
        <v>120000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6"/>
        <v>5000</v>
      </c>
      <c r="E60" s="30"/>
      <c r="F60" s="25">
        <f t="shared" si="17"/>
        <v>5000</v>
      </c>
      <c r="G60" s="32">
        <v>5000</v>
      </c>
      <c r="H60" s="25"/>
      <c r="I60" s="46"/>
      <c r="J60" s="67">
        <f t="shared" si="18"/>
        <v>0</v>
      </c>
      <c r="K60" s="52">
        <f t="shared" si="10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20"/>
        <v>5000</v>
      </c>
      <c r="Y60" s="69">
        <f t="shared" si="19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8"/>
        <v>30</v>
      </c>
      <c r="K61" s="52">
        <f t="shared" si="10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20"/>
        <v>500000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6"/>
        <v>1450000</v>
      </c>
      <c r="E67" s="30"/>
      <c r="F67" s="25">
        <f t="shared" si="17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8"/>
        <v>55.172413793103445</v>
      </c>
      <c r="K67" s="52">
        <f t="shared" si="10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20"/>
        <v>1450000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6"/>
        <v>3760000</v>
      </c>
      <c r="E76" s="30"/>
      <c r="F76" s="25">
        <f t="shared" si="17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20"/>
        <v>3760000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</f>
        <v>1264571.36</v>
      </c>
      <c r="I79" s="46">
        <f>H79/D79*100</f>
        <v>21.076189333333335</v>
      </c>
      <c r="J79" s="67">
        <f t="shared" si="18"/>
        <v>31.614284000000005</v>
      </c>
      <c r="K79" s="52">
        <f t="shared" si="10"/>
        <v>2735428.6399999997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8"/>
        <v>26.405</v>
      </c>
      <c r="K80" s="52">
        <f t="shared" si="10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9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8"/>
        <v>0</v>
      </c>
      <c r="K81" s="52">
        <f t="shared" si="10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9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6"/>
        <v>26407000</v>
      </c>
      <c r="E82" s="30"/>
      <c r="F82" s="25">
        <f t="shared" si="17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</f>
        <v>17978354.23</v>
      </c>
      <c r="I82" s="46">
        <f>H82/D82*100</f>
        <v>68.08177464308707</v>
      </c>
      <c r="J82" s="67">
        <f t="shared" si="18"/>
        <v>93.99463705756261</v>
      </c>
      <c r="K82" s="52">
        <f t="shared" si="10"/>
        <v>8026145.77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20"/>
        <v>26407000</v>
      </c>
      <c r="Y82" s="69">
        <f t="shared" si="19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8"/>
        <v>82.10184325215685</v>
      </c>
      <c r="K83" s="52">
        <f t="shared" si="10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9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8"/>
        <v>44.439665354330714</v>
      </c>
      <c r="K84" s="52">
        <f t="shared" si="10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6"/>
        <v>26868731</v>
      </c>
      <c r="E85" s="30"/>
      <c r="F85" s="25">
        <f t="shared" si="17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</f>
        <v>22987317.11</v>
      </c>
      <c r="I85" s="46">
        <f>H85/D85*100</f>
        <v>85.5541600010808</v>
      </c>
      <c r="J85" s="67">
        <f t="shared" si="18"/>
        <v>88.41367285684609</v>
      </c>
      <c r="K85" s="52">
        <f t="shared" si="10"/>
        <v>4037413.8900000006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20"/>
        <v>26868731</v>
      </c>
      <c r="Y85" s="69">
        <f t="shared" si="19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8"/>
        <v>0</v>
      </c>
      <c r="K86" s="52">
        <f t="shared" si="10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9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1" ref="I87:I93">H87/D87*100</f>
        <v>44.67845749999999</v>
      </c>
      <c r="J87" s="67">
        <f t="shared" si="18"/>
        <v>44.67845749999999</v>
      </c>
      <c r="K87" s="52">
        <f t="shared" si="10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9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>
        <f>28474.8+238.82</f>
        <v>28713.62</v>
      </c>
      <c r="I88" s="25">
        <f t="shared" si="21"/>
        <v>11.578072580645161</v>
      </c>
      <c r="J88" s="67">
        <f t="shared" si="18"/>
        <v>35.44891358024691</v>
      </c>
      <c r="K88" s="52">
        <f t="shared" si="10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9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2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1"/>
        <v>49.17614036989496</v>
      </c>
      <c r="J89" s="67">
        <f t="shared" si="18"/>
        <v>51.222679696180684</v>
      </c>
      <c r="K89" s="52">
        <f t="shared" si="10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2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1"/>
        <v>57.29152966444451</v>
      </c>
      <c r="J90" s="67">
        <f t="shared" si="18"/>
        <v>57.30347546747932</v>
      </c>
      <c r="K90" s="52">
        <f t="shared" si="10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20"/>
        <v>3585100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2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 t="shared" si="21"/>
        <v>99.711</v>
      </c>
      <c r="J91" s="67">
        <f t="shared" si="18"/>
        <v>99.711</v>
      </c>
      <c r="K91" s="52">
        <f aca="true" t="shared" si="23" ref="K91:K100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2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 t="shared" si="21"/>
        <v>36.632333333333335</v>
      </c>
      <c r="J92" s="67">
        <f t="shared" si="18"/>
        <v>36.632333333333335</v>
      </c>
      <c r="K92" s="52">
        <f t="shared" si="23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2"/>
        <v>538000</v>
      </c>
      <c r="E93" s="6"/>
      <c r="F93" s="25">
        <f t="shared" si="17"/>
        <v>538000</v>
      </c>
      <c r="G93" s="32">
        <v>538000</v>
      </c>
      <c r="H93" s="25">
        <f>139785.59+164838.36+4545.63+134831.92+1999.26</f>
        <v>446000.76</v>
      </c>
      <c r="I93" s="46">
        <f t="shared" si="21"/>
        <v>82.89976951672863</v>
      </c>
      <c r="J93" s="67">
        <f t="shared" si="18"/>
        <v>82.89976951672863</v>
      </c>
      <c r="K93" s="52">
        <f t="shared" si="23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20"/>
        <v>538000</v>
      </c>
      <c r="Y93" s="69">
        <f t="shared" si="19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2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8"/>
        <v>0</v>
      </c>
      <c r="K94" s="52">
        <f t="shared" si="23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9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2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8"/>
        <v>0</v>
      </c>
      <c r="K95" s="52">
        <f t="shared" si="23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9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2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8"/>
        <v>16.357836</v>
      </c>
      <c r="K96" s="52">
        <f t="shared" si="23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9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2"/>
        <v>50000</v>
      </c>
      <c r="E97" s="6"/>
      <c r="F97" s="25">
        <f t="shared" si="17"/>
        <v>50000</v>
      </c>
      <c r="G97" s="32">
        <f>50000+2000000-2000000</f>
        <v>50000</v>
      </c>
      <c r="H97" s="25"/>
      <c r="I97" s="46"/>
      <c r="J97" s="67">
        <f t="shared" si="18"/>
        <v>0</v>
      </c>
      <c r="K97" s="52">
        <f t="shared" si="23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20"/>
        <v>50000</v>
      </c>
      <c r="Y97" s="69">
        <f t="shared" si="19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226726798.92000002</v>
      </c>
      <c r="I98" s="44">
        <f>H98/D98*100</f>
        <v>75.33168291520586</v>
      </c>
      <c r="J98" s="44">
        <f>H98/(L98+M98+N98+O98+P98+Q98+R98+S98+T98+U98+V98)*100</f>
        <v>82.58658421044977</v>
      </c>
      <c r="K98" s="52">
        <f t="shared" si="23"/>
        <v>86646981.92999989</v>
      </c>
      <c r="L98" s="20">
        <f aca="true" t="shared" si="24" ref="L98:X98">L8+L26+L53</f>
        <v>112816</v>
      </c>
      <c r="M98" s="20">
        <f t="shared" si="24"/>
        <v>3716000</v>
      </c>
      <c r="N98" s="20">
        <f t="shared" si="24"/>
        <v>13054000</v>
      </c>
      <c r="O98" s="20">
        <f t="shared" si="24"/>
        <v>23577301.990000002</v>
      </c>
      <c r="P98" s="20">
        <f t="shared" si="24"/>
        <v>25112943.939999998</v>
      </c>
      <c r="Q98" s="20">
        <f t="shared" si="24"/>
        <v>23049655.380000003</v>
      </c>
      <c r="R98" s="20">
        <f t="shared" si="24"/>
        <v>31654418.01</v>
      </c>
      <c r="S98" s="20">
        <f t="shared" si="24"/>
        <v>46153908.06</v>
      </c>
      <c r="T98" s="20">
        <f t="shared" si="24"/>
        <v>38841541.64</v>
      </c>
      <c r="U98" s="20">
        <f t="shared" si="24"/>
        <v>35148965.41</v>
      </c>
      <c r="V98" s="20">
        <f t="shared" si="24"/>
        <v>34110688.78</v>
      </c>
      <c r="W98" s="20">
        <f t="shared" si="24"/>
        <v>26439131.86</v>
      </c>
      <c r="X98" s="20">
        <f t="shared" si="24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9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9"/>
        <v>0</v>
      </c>
    </row>
  </sheetData>
  <sheetProtection/>
  <mergeCells count="28">
    <mergeCell ref="N4:N5"/>
    <mergeCell ref="O4:O5"/>
    <mergeCell ref="P4:P5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I4:I5"/>
    <mergeCell ref="A7:I7"/>
    <mergeCell ref="L4:L5"/>
    <mergeCell ref="K4:K5"/>
    <mergeCell ref="J4:J6"/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2016-11-28T13:58:53Z</dcterms:modified>
  <cp:category/>
  <cp:version/>
  <cp:contentType/>
  <cp:contentStatus/>
</cp:coreProperties>
</file>